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<sst xmlns="http://schemas.openxmlformats.org/spreadsheetml/2006/main" count="54" uniqueCount="27">
  <si>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netto</t>
  </si>
  <si>
    <t>Anlagenbau</t>
  </si>
  <si>
    <t>€/kwp</t>
  </si>
  <si>
    <t>Zaun, Sicherung, Ing-Leist.</t>
  </si>
  <si>
    <t>Zinssatz</t>
  </si>
  <si>
    <t>20 Ja. fest</t>
  </si>
  <si>
    <t>Kreisdarlehen</t>
  </si>
  <si>
    <t>Tilgung über 20 Jahre</t>
  </si>
  <si>
    <t>AfA über 20 Jahre</t>
  </si>
  <si>
    <t>Einnahmen</t>
  </si>
  <si>
    <t>Vergütung ab</t>
  </si>
  <si>
    <t>kwh/kwp*a</t>
  </si>
  <si>
    <t>Kwp</t>
  </si>
  <si>
    <t>ct/kwh</t>
  </si>
  <si>
    <t>% jährliche Degradation</t>
  </si>
  <si>
    <t>Zinsen und Tilgung</t>
  </si>
  <si>
    <t>davon Tilgung</t>
  </si>
  <si>
    <r>
      <t>Reparatur / Wartung</t>
    </r>
    <r>
      <rPr>
        <sz val="10"/>
        <color indexed="10"/>
        <rFont val="Arial"/>
        <family val="2"/>
      </rPr>
      <t xml:space="preserve"> 0,3 %von Invest</t>
    </r>
  </si>
  <si>
    <r>
      <t xml:space="preserve">Versicherung (SB 5000,- €) </t>
    </r>
    <r>
      <rPr>
        <sz val="10"/>
        <color indexed="10"/>
        <rFont val="Arial"/>
        <family val="2"/>
      </rPr>
      <t>0,17 % von Invest</t>
    </r>
  </si>
  <si>
    <t>Gewinn vor Steuer</t>
  </si>
  <si>
    <t>Kontostand der Zahlungen</t>
  </si>
  <si>
    <t>Aufsummierung der Zahlungen</t>
  </si>
  <si>
    <t>Verzinsung</t>
  </si>
  <si>
    <t xml:space="preserve">Invest ca. 2,15 Mio €, Darlehen über Kreis, Tilgungszeit 20 Jahre, Zinsbindung 20 Jahre, ohne Sondertilgungnen </t>
  </si>
  <si>
    <t>mittlere Verzinsung</t>
  </si>
  <si>
    <t xml:space="preserve">davon Zinsen Darlehen </t>
  </si>
  <si>
    <t>Ausgaben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</si>
</sst>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2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4" fontId="0" fillId="0" borderId="15" xfId="0" applyNumberForma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2" borderId="14" xfId="0" applyFon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3" borderId="1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77"/>
  <sheetViews>
    <sheetView tabSelected="1" view="pageBreakPreview" zoomScale="60" workbookViewId="0" topLeftCell="F25">
      <selection activeCell="O2" sqref="O2"/>
    </sheetView>
  </sheetViews>
  <sheetFormatPr defaultColWidth="11.421875" defaultRowHeight="12.75"/>
  <cols>
    <col min="1" max="1" width="13.28125" style="0" customWidth="1"/>
  </cols>
  <sheetData>
    <row r="4" ht="11.25" customHeight="1" thickBot="1">
      <c r="Y4" s="74"/>
    </row>
    <row r="5" spans="1:25" s="3" customFormat="1" ht="12.75">
      <c r="A5" s="1"/>
      <c r="B5" s="2"/>
      <c r="C5" s="2"/>
      <c r="D5" s="2">
        <v>0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64">
        <v>20</v>
      </c>
      <c r="Y5" s="75"/>
    </row>
    <row r="6" spans="1:25" s="3" customFormat="1" ht="12.75">
      <c r="A6" s="4"/>
      <c r="B6" s="5"/>
      <c r="C6" s="5"/>
      <c r="D6" s="5">
        <v>2011</v>
      </c>
      <c r="E6" s="5">
        <f aca="true" t="shared" si="0" ref="E6:W6">SUM(D6+1)</f>
        <v>2012</v>
      </c>
      <c r="F6" s="5">
        <f t="shared" si="0"/>
        <v>2013</v>
      </c>
      <c r="G6" s="5">
        <f t="shared" si="0"/>
        <v>2014</v>
      </c>
      <c r="H6" s="5">
        <f t="shared" si="0"/>
        <v>2015</v>
      </c>
      <c r="I6" s="5">
        <f t="shared" si="0"/>
        <v>2016</v>
      </c>
      <c r="J6" s="5">
        <f t="shared" si="0"/>
        <v>2017</v>
      </c>
      <c r="K6" s="5">
        <f t="shared" si="0"/>
        <v>2018</v>
      </c>
      <c r="L6" s="5">
        <f t="shared" si="0"/>
        <v>2019</v>
      </c>
      <c r="M6" s="5">
        <f t="shared" si="0"/>
        <v>2020</v>
      </c>
      <c r="N6" s="5">
        <f t="shared" si="0"/>
        <v>2021</v>
      </c>
      <c r="O6" s="5">
        <f t="shared" si="0"/>
        <v>2022</v>
      </c>
      <c r="P6" s="5">
        <f t="shared" si="0"/>
        <v>2023</v>
      </c>
      <c r="Q6" s="5">
        <f t="shared" si="0"/>
        <v>2024</v>
      </c>
      <c r="R6" s="5">
        <f t="shared" si="0"/>
        <v>2025</v>
      </c>
      <c r="S6" s="5">
        <f t="shared" si="0"/>
        <v>2026</v>
      </c>
      <c r="T6" s="5">
        <f t="shared" si="0"/>
        <v>2027</v>
      </c>
      <c r="U6" s="5">
        <f t="shared" si="0"/>
        <v>2028</v>
      </c>
      <c r="V6" s="5">
        <f t="shared" si="0"/>
        <v>2029</v>
      </c>
      <c r="W6" s="5">
        <f t="shared" si="0"/>
        <v>2030</v>
      </c>
      <c r="X6" s="65">
        <v>2031</v>
      </c>
      <c r="Y6" s="75"/>
    </row>
    <row r="7" spans="1:25" ht="12.75">
      <c r="A7" s="6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6"/>
      <c r="Y7" s="74"/>
    </row>
    <row r="8" spans="1:25" ht="15.75">
      <c r="A8" s="8">
        <f>SUM(D8*B19)</f>
        <v>2100000</v>
      </c>
      <c r="B8" s="5" t="s">
        <v>1</v>
      </c>
      <c r="C8" s="5"/>
      <c r="D8" s="9">
        <v>2100</v>
      </c>
      <c r="E8" s="7" t="s">
        <v>2</v>
      </c>
      <c r="F8" s="7"/>
      <c r="G8" s="7"/>
      <c r="H8" s="7"/>
      <c r="I8" s="10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6"/>
      <c r="Y8" s="74"/>
    </row>
    <row r="9" spans="1:25" ht="12.75">
      <c r="A9" s="8">
        <v>40000</v>
      </c>
      <c r="B9" s="5" t="s">
        <v>3</v>
      </c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66"/>
      <c r="Y9" s="74"/>
    </row>
    <row r="10" spans="1:25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6"/>
      <c r="Y10" s="74"/>
    </row>
    <row r="11" spans="1:25" ht="12.75">
      <c r="A11" s="11"/>
      <c r="B11" s="7"/>
      <c r="C11" s="7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59"/>
      <c r="Y11" s="76"/>
    </row>
    <row r="12" spans="1:25" s="18" customFormat="1" ht="12.75">
      <c r="A12" s="14">
        <f>SUM(A8:A9)</f>
        <v>2140000</v>
      </c>
      <c r="B12" s="15" t="s">
        <v>5</v>
      </c>
      <c r="C12" s="16">
        <v>0.035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77"/>
    </row>
    <row r="13" spans="1:25" s="18" customFormat="1" ht="12.75">
      <c r="A13" s="19"/>
      <c r="B13" s="15" t="s">
        <v>6</v>
      </c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7"/>
      <c r="Y13" s="77"/>
    </row>
    <row r="14" spans="1:25" s="18" customFormat="1" ht="12.75">
      <c r="A14" s="19"/>
      <c r="B14" s="15" t="s">
        <v>7</v>
      </c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67"/>
      <c r="Y14" s="77"/>
    </row>
    <row r="15" spans="1:25" ht="12.75">
      <c r="A15" s="6" t="s">
        <v>8</v>
      </c>
      <c r="B15" s="7"/>
      <c r="C15" s="7"/>
      <c r="D15" s="12">
        <f>SUM(A12/20/2)</f>
        <v>53500</v>
      </c>
      <c r="E15" s="12">
        <f>SUM(A12/20)</f>
        <v>107000</v>
      </c>
      <c r="F15" s="12">
        <f aca="true" t="shared" si="1" ref="F15:W15">SUM(E15)</f>
        <v>107000</v>
      </c>
      <c r="G15" s="12">
        <f t="shared" si="1"/>
        <v>107000</v>
      </c>
      <c r="H15" s="12">
        <f t="shared" si="1"/>
        <v>107000</v>
      </c>
      <c r="I15" s="12">
        <f t="shared" si="1"/>
        <v>107000</v>
      </c>
      <c r="J15" s="12">
        <f t="shared" si="1"/>
        <v>107000</v>
      </c>
      <c r="K15" s="12">
        <f t="shared" si="1"/>
        <v>107000</v>
      </c>
      <c r="L15" s="12">
        <f t="shared" si="1"/>
        <v>107000</v>
      </c>
      <c r="M15" s="12">
        <f t="shared" si="1"/>
        <v>107000</v>
      </c>
      <c r="N15" s="12">
        <f t="shared" si="1"/>
        <v>107000</v>
      </c>
      <c r="O15" s="12">
        <f t="shared" si="1"/>
        <v>107000</v>
      </c>
      <c r="P15" s="12">
        <f t="shared" si="1"/>
        <v>107000</v>
      </c>
      <c r="Q15" s="12">
        <f t="shared" si="1"/>
        <v>107000</v>
      </c>
      <c r="R15" s="12">
        <f t="shared" si="1"/>
        <v>107000</v>
      </c>
      <c r="S15" s="12">
        <f t="shared" si="1"/>
        <v>107000</v>
      </c>
      <c r="T15" s="12">
        <f t="shared" si="1"/>
        <v>107000</v>
      </c>
      <c r="U15" s="12">
        <f t="shared" si="1"/>
        <v>107000</v>
      </c>
      <c r="V15" s="12">
        <f t="shared" si="1"/>
        <v>107000</v>
      </c>
      <c r="W15" s="12">
        <f t="shared" si="1"/>
        <v>107000</v>
      </c>
      <c r="X15" s="59">
        <f>SUM(A12/20/2)</f>
        <v>53500</v>
      </c>
      <c r="Y15" s="74"/>
    </row>
    <row r="16" spans="1:25" ht="12.75">
      <c r="A16" s="6"/>
      <c r="B16" s="7"/>
      <c r="C16" s="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59"/>
      <c r="Y16" s="74"/>
    </row>
    <row r="17" spans="1:25" s="25" customFormat="1" ht="12.75">
      <c r="A17" s="21" t="s">
        <v>9</v>
      </c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68"/>
      <c r="Y17" s="75"/>
    </row>
    <row r="18" spans="1:25" ht="12.75">
      <c r="A18" s="6" t="s">
        <v>10</v>
      </c>
      <c r="B18" s="9">
        <v>867</v>
      </c>
      <c r="C18" s="5" t="s">
        <v>11</v>
      </c>
      <c r="D18" s="12">
        <f>SUM(B18*B19*B20/100/2)</f>
        <v>91511.85</v>
      </c>
      <c r="E18" s="12">
        <f>SUM(B18*B19*B20/100)</f>
        <v>183023.7</v>
      </c>
      <c r="F18" s="12">
        <f>SUM(E18*0.98)</f>
        <v>179363.226</v>
      </c>
      <c r="G18" s="12">
        <f>SUM(E18*0.97)</f>
        <v>177532.989</v>
      </c>
      <c r="H18" s="12">
        <f>SUM(E18*0.96)</f>
        <v>175702.752</v>
      </c>
      <c r="I18" s="12">
        <f>SUM(E18*0.95)</f>
        <v>173872.515</v>
      </c>
      <c r="J18" s="12">
        <f>SUM(E18*0.94)</f>
        <v>172042.278</v>
      </c>
      <c r="K18" s="12">
        <f>SUM(E18*0.93)</f>
        <v>170212.04100000003</v>
      </c>
      <c r="L18" s="20">
        <f>SUM(E18*0.92)</f>
        <v>168381.804</v>
      </c>
      <c r="M18" s="12">
        <f>SUM(E18*0.91)</f>
        <v>166551.567</v>
      </c>
      <c r="N18" s="12">
        <f>SUM(E18*0.9)</f>
        <v>164721.33000000002</v>
      </c>
      <c r="O18" s="12">
        <f>SUM(E18*0.89)</f>
        <v>162891.09300000002</v>
      </c>
      <c r="P18" s="12">
        <f>SUM(E18*0.88)</f>
        <v>161060.856</v>
      </c>
      <c r="Q18" s="12">
        <f>SUM(E18*0.87)</f>
        <v>159230.619</v>
      </c>
      <c r="R18" s="12">
        <f>SUM(E18*0.86)</f>
        <v>157400.382</v>
      </c>
      <c r="S18" s="12">
        <f>SUM(E18*0.85)</f>
        <v>155570.14500000002</v>
      </c>
      <c r="T18" s="12">
        <f>SUM(E18*0.84)</f>
        <v>153739.908</v>
      </c>
      <c r="U18" s="12">
        <f>SUM(E18*0.83)</f>
        <v>151909.671</v>
      </c>
      <c r="V18" s="12">
        <f>SUM(E18*0.82)</f>
        <v>150079.434</v>
      </c>
      <c r="W18" s="12">
        <f>SUM(E18*0.81)</f>
        <v>148249.19700000001</v>
      </c>
      <c r="X18" s="59">
        <f>SUM(E18*0.8)</f>
        <v>146418.96000000002</v>
      </c>
      <c r="Y18" s="74"/>
    </row>
    <row r="19" spans="1:25" ht="12.75">
      <c r="A19" s="26">
        <v>2011</v>
      </c>
      <c r="B19" s="5">
        <v>1000</v>
      </c>
      <c r="C19" s="5" t="s">
        <v>12</v>
      </c>
      <c r="D19" s="12"/>
      <c r="E19" s="12"/>
      <c r="F19" s="12"/>
      <c r="G19" s="12"/>
      <c r="H19" s="12"/>
      <c r="I19" s="12"/>
      <c r="J19" s="12"/>
      <c r="K19" s="12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59"/>
      <c r="Y19" s="74"/>
    </row>
    <row r="20" spans="1:25" ht="12.75">
      <c r="A20" s="6"/>
      <c r="B20" s="5">
        <v>21.11</v>
      </c>
      <c r="C20" s="5" t="s">
        <v>13</v>
      </c>
      <c r="D20" s="12"/>
      <c r="E20" s="12"/>
      <c r="F20" s="12"/>
      <c r="G20" s="12"/>
      <c r="H20" s="12"/>
      <c r="I20" s="12"/>
      <c r="J20" s="12"/>
      <c r="K20" s="12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59"/>
      <c r="Y20" s="74"/>
    </row>
    <row r="21" spans="1:25" ht="12.75">
      <c r="A21" s="6"/>
      <c r="B21" s="5">
        <v>1</v>
      </c>
      <c r="C21" s="5" t="s">
        <v>14</v>
      </c>
      <c r="D21" s="12"/>
      <c r="E21" s="12"/>
      <c r="F21" s="12"/>
      <c r="G21" s="12"/>
      <c r="H21" s="12"/>
      <c r="I21" s="12"/>
      <c r="J21" s="12"/>
      <c r="K21" s="12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59"/>
      <c r="Y21" s="74"/>
    </row>
    <row r="22" spans="1:25" ht="12.75">
      <c r="A22" s="6"/>
      <c r="B22" s="5"/>
      <c r="C22" s="5"/>
      <c r="D22" s="12"/>
      <c r="E22" s="12"/>
      <c r="F22" s="12"/>
      <c r="G22" s="12"/>
      <c r="H22" s="12"/>
      <c r="I22" s="12"/>
      <c r="J22" s="12"/>
      <c r="K22" s="12"/>
      <c r="L22" s="2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9"/>
      <c r="Y22" s="74"/>
    </row>
    <row r="23" spans="1:25" ht="12.75">
      <c r="A23" s="6"/>
      <c r="B23" s="5"/>
      <c r="C23" s="5"/>
      <c r="D23" s="12"/>
      <c r="E23" s="12"/>
      <c r="F23" s="12"/>
      <c r="G23" s="12"/>
      <c r="H23" s="12"/>
      <c r="I23" s="12"/>
      <c r="J23" s="12"/>
      <c r="K23" s="12"/>
      <c r="L23" s="20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59"/>
      <c r="Y23" s="74"/>
    </row>
    <row r="24" spans="1:25" s="31" customFormat="1" ht="12.75">
      <c r="A24" s="21" t="s">
        <v>26</v>
      </c>
      <c r="B24" s="22"/>
      <c r="C24" s="22"/>
      <c r="D24" s="28"/>
      <c r="E24" s="28"/>
      <c r="F24" s="28"/>
      <c r="G24" s="28"/>
      <c r="H24" s="28"/>
      <c r="I24" s="28"/>
      <c r="J24" s="28"/>
      <c r="K24" s="28"/>
      <c r="L24" s="2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60"/>
      <c r="Y24" s="74"/>
    </row>
    <row r="25" spans="1:25" ht="12.75">
      <c r="A25" s="6" t="s">
        <v>15</v>
      </c>
      <c r="B25" s="5"/>
      <c r="C25" s="5"/>
      <c r="D25" s="12">
        <f>SUM(((A12)*C12)+(A12/20))</f>
        <v>181900</v>
      </c>
      <c r="E25" s="12">
        <f>SUM(((A12-(A12/20*E5))*C12)+(A12/20))</f>
        <v>178155</v>
      </c>
      <c r="F25" s="12">
        <f>SUM(((A12-(A12/20*F5))*C12)+(A12/20))</f>
        <v>174410</v>
      </c>
      <c r="G25" s="12">
        <f>SUM(((A12-(A12/20*G5))*C12)+(A12/20))</f>
        <v>170665</v>
      </c>
      <c r="H25" s="12">
        <f>SUM(((A12-(A12/20*H5))*C12)+(A12/20))</f>
        <v>166920</v>
      </c>
      <c r="I25" s="12">
        <f>SUM(((A12-(A12/20*I5))*C12)+(A12/20))</f>
        <v>163175</v>
      </c>
      <c r="J25" s="12">
        <f>SUM(((A12-(A12/20*J5))*C12)+(A12/20))</f>
        <v>159430</v>
      </c>
      <c r="K25" s="12">
        <f>SUM(((A12-(A12/20*K5))*C12)+(A12/20))</f>
        <v>155685</v>
      </c>
      <c r="L25" s="12">
        <f>SUM(((A12-(A12/20*L5))*C12)+(A12/20))</f>
        <v>151940</v>
      </c>
      <c r="M25" s="12">
        <f>SUM(((A12-(A12/20*M5))*C12)+(A12/20))</f>
        <v>148195</v>
      </c>
      <c r="N25" s="20">
        <f>SUM(((A12-(A12/20*N5))*C12)+(A12/20))</f>
        <v>144450</v>
      </c>
      <c r="O25" s="20">
        <f>SUM(((A12-(A12/20*O5))*C12)+(A12/20))</f>
        <v>140705</v>
      </c>
      <c r="P25" s="20">
        <f>SUM(((A12-(A12/20*P5))*C12)+(A12/20))</f>
        <v>136960</v>
      </c>
      <c r="Q25" s="20">
        <f>SUM(((A12-(A12/20*Q5))*C12)+(A12/20))</f>
        <v>133215</v>
      </c>
      <c r="R25" s="20">
        <f>SUM(((A12-(A12/20*R5))*C12)+(A12/20))</f>
        <v>129470</v>
      </c>
      <c r="S25" s="20">
        <f>SUM(((A12-(A12/20*S5))*C12)+(A12/20))</f>
        <v>125725</v>
      </c>
      <c r="T25" s="20">
        <f>SUM(((A12-(A12/20*T5))*C12)+(A12/20))</f>
        <v>121980</v>
      </c>
      <c r="U25" s="20">
        <f>SUM(((A12-(A12/20*U5))*C12)+(A12/20))</f>
        <v>118235</v>
      </c>
      <c r="V25" s="20">
        <f>SUM(((A12-(A12/20*V5))*C12)+(A12/20))</f>
        <v>114490</v>
      </c>
      <c r="W25" s="20">
        <f>SUM(((A12-(A12/20*W5))*C12)+(A12/20))</f>
        <v>110745</v>
      </c>
      <c r="X25" s="20"/>
      <c r="Y25" s="74"/>
    </row>
    <row r="26" spans="1:25" ht="12.75">
      <c r="A26" s="6"/>
      <c r="B26" s="5"/>
      <c r="C26" s="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74"/>
    </row>
    <row r="27" spans="1:25" ht="12.75">
      <c r="A27" s="32" t="s">
        <v>25</v>
      </c>
      <c r="B27" s="33"/>
      <c r="C27" s="33"/>
      <c r="D27" s="34">
        <f aca="true" t="shared" si="2" ref="D27:W27">SUM(D25-D28)</f>
        <v>74900</v>
      </c>
      <c r="E27" s="34">
        <f t="shared" si="2"/>
        <v>71155</v>
      </c>
      <c r="F27" s="34">
        <f t="shared" si="2"/>
        <v>67410</v>
      </c>
      <c r="G27" s="34">
        <f t="shared" si="2"/>
        <v>63665</v>
      </c>
      <c r="H27" s="34">
        <f t="shared" si="2"/>
        <v>59920</v>
      </c>
      <c r="I27" s="34">
        <f t="shared" si="2"/>
        <v>56175</v>
      </c>
      <c r="J27" s="34">
        <f t="shared" si="2"/>
        <v>52430</v>
      </c>
      <c r="K27" s="34">
        <f t="shared" si="2"/>
        <v>48685</v>
      </c>
      <c r="L27" s="34">
        <f t="shared" si="2"/>
        <v>44940</v>
      </c>
      <c r="M27" s="34">
        <f t="shared" si="2"/>
        <v>41195</v>
      </c>
      <c r="N27" s="34">
        <f t="shared" si="2"/>
        <v>37450</v>
      </c>
      <c r="O27" s="34">
        <f t="shared" si="2"/>
        <v>33705</v>
      </c>
      <c r="P27" s="34">
        <f t="shared" si="2"/>
        <v>29960</v>
      </c>
      <c r="Q27" s="34">
        <f t="shared" si="2"/>
        <v>26215</v>
      </c>
      <c r="R27" s="34">
        <f t="shared" si="2"/>
        <v>22470</v>
      </c>
      <c r="S27" s="34">
        <f t="shared" si="2"/>
        <v>18725</v>
      </c>
      <c r="T27" s="34">
        <f t="shared" si="2"/>
        <v>14980</v>
      </c>
      <c r="U27" s="34">
        <f t="shared" si="2"/>
        <v>11235</v>
      </c>
      <c r="V27" s="34">
        <f t="shared" si="2"/>
        <v>7490</v>
      </c>
      <c r="W27" s="34">
        <f t="shared" si="2"/>
        <v>3745</v>
      </c>
      <c r="X27" s="69"/>
      <c r="Y27" s="74"/>
    </row>
    <row r="28" spans="1:25" ht="12.75">
      <c r="A28" s="35" t="s">
        <v>16</v>
      </c>
      <c r="B28" s="33"/>
      <c r="C28" s="33"/>
      <c r="D28" s="34">
        <f>SUM(A12/20)</f>
        <v>107000</v>
      </c>
      <c r="E28" s="34">
        <f>SUM(A12/20)</f>
        <v>107000</v>
      </c>
      <c r="F28" s="34">
        <f aca="true" t="shared" si="3" ref="F28:W31">SUM(E28)</f>
        <v>107000</v>
      </c>
      <c r="G28" s="34">
        <f t="shared" si="3"/>
        <v>107000</v>
      </c>
      <c r="H28" s="34">
        <f t="shared" si="3"/>
        <v>107000</v>
      </c>
      <c r="I28" s="34">
        <f t="shared" si="3"/>
        <v>107000</v>
      </c>
      <c r="J28" s="34">
        <f t="shared" si="3"/>
        <v>107000</v>
      </c>
      <c r="K28" s="34">
        <f t="shared" si="3"/>
        <v>107000</v>
      </c>
      <c r="L28" s="34">
        <f t="shared" si="3"/>
        <v>107000</v>
      </c>
      <c r="M28" s="34">
        <f t="shared" si="3"/>
        <v>107000</v>
      </c>
      <c r="N28" s="34">
        <f t="shared" si="3"/>
        <v>107000</v>
      </c>
      <c r="O28" s="34">
        <f t="shared" si="3"/>
        <v>107000</v>
      </c>
      <c r="P28" s="34">
        <f t="shared" si="3"/>
        <v>107000</v>
      </c>
      <c r="Q28" s="34">
        <f t="shared" si="3"/>
        <v>107000</v>
      </c>
      <c r="R28" s="34">
        <f t="shared" si="3"/>
        <v>107000</v>
      </c>
      <c r="S28" s="34">
        <f t="shared" si="3"/>
        <v>107000</v>
      </c>
      <c r="T28" s="34">
        <f t="shared" si="3"/>
        <v>107000</v>
      </c>
      <c r="U28" s="34">
        <f t="shared" si="3"/>
        <v>107000</v>
      </c>
      <c r="V28" s="34">
        <f t="shared" si="3"/>
        <v>107000</v>
      </c>
      <c r="W28" s="34">
        <f t="shared" si="3"/>
        <v>107000</v>
      </c>
      <c r="X28" s="69"/>
      <c r="Y28" s="74"/>
    </row>
    <row r="29" spans="1:25" ht="12.75">
      <c r="A29" s="35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69"/>
      <c r="Y29" s="74"/>
    </row>
    <row r="30" spans="1:25" ht="12.75">
      <c r="A30" s="19" t="s">
        <v>17</v>
      </c>
      <c r="B30" s="7"/>
      <c r="C30" s="36"/>
      <c r="D30" s="12">
        <f>SUM(A12*0.003/2)</f>
        <v>3210</v>
      </c>
      <c r="E30" s="12">
        <f>SUM(A12*0.003)</f>
        <v>6420</v>
      </c>
      <c r="F30" s="12">
        <f t="shared" si="3"/>
        <v>6420</v>
      </c>
      <c r="G30" s="12">
        <f t="shared" si="3"/>
        <v>6420</v>
      </c>
      <c r="H30" s="12">
        <f t="shared" si="3"/>
        <v>6420</v>
      </c>
      <c r="I30" s="12">
        <f t="shared" si="3"/>
        <v>6420</v>
      </c>
      <c r="J30" s="12">
        <f t="shared" si="3"/>
        <v>6420</v>
      </c>
      <c r="K30" s="12">
        <f t="shared" si="3"/>
        <v>6420</v>
      </c>
      <c r="L30" s="12">
        <f t="shared" si="3"/>
        <v>6420</v>
      </c>
      <c r="M30" s="12">
        <f t="shared" si="3"/>
        <v>6420</v>
      </c>
      <c r="N30" s="12">
        <f t="shared" si="3"/>
        <v>6420</v>
      </c>
      <c r="O30" s="12">
        <f t="shared" si="3"/>
        <v>6420</v>
      </c>
      <c r="P30" s="12">
        <f t="shared" si="3"/>
        <v>6420</v>
      </c>
      <c r="Q30" s="12">
        <f t="shared" si="3"/>
        <v>6420</v>
      </c>
      <c r="R30" s="12">
        <f t="shared" si="3"/>
        <v>6420</v>
      </c>
      <c r="S30" s="12">
        <f t="shared" si="3"/>
        <v>6420</v>
      </c>
      <c r="T30" s="12">
        <f t="shared" si="3"/>
        <v>6420</v>
      </c>
      <c r="U30" s="12">
        <f t="shared" si="3"/>
        <v>6420</v>
      </c>
      <c r="V30" s="12">
        <f t="shared" si="3"/>
        <v>6420</v>
      </c>
      <c r="W30" s="12">
        <f t="shared" si="3"/>
        <v>6420</v>
      </c>
      <c r="X30" s="59">
        <f>SUM(W30)</f>
        <v>6420</v>
      </c>
      <c r="Y30" s="74"/>
    </row>
    <row r="31" spans="1:26" ht="12.75">
      <c r="A31" s="6" t="s">
        <v>18</v>
      </c>
      <c r="B31" s="7"/>
      <c r="C31" s="7"/>
      <c r="D31" s="12">
        <f>SUM(A12*0.0017/2)</f>
        <v>1819</v>
      </c>
      <c r="E31" s="12">
        <f>SUM(A12*0.0017)</f>
        <v>3638</v>
      </c>
      <c r="F31" s="12">
        <f t="shared" si="3"/>
        <v>3638</v>
      </c>
      <c r="G31" s="12">
        <f t="shared" si="3"/>
        <v>3638</v>
      </c>
      <c r="H31" s="12">
        <f t="shared" si="3"/>
        <v>3638</v>
      </c>
      <c r="I31" s="12">
        <f t="shared" si="3"/>
        <v>3638</v>
      </c>
      <c r="J31" s="12">
        <f t="shared" si="3"/>
        <v>3638</v>
      </c>
      <c r="K31" s="12">
        <f t="shared" si="3"/>
        <v>3638</v>
      </c>
      <c r="L31" s="12">
        <f t="shared" si="3"/>
        <v>3638</v>
      </c>
      <c r="M31" s="12">
        <f t="shared" si="3"/>
        <v>3638</v>
      </c>
      <c r="N31" s="12">
        <f t="shared" si="3"/>
        <v>3638</v>
      </c>
      <c r="O31" s="12">
        <f t="shared" si="3"/>
        <v>3638</v>
      </c>
      <c r="P31" s="12">
        <f t="shared" si="3"/>
        <v>3638</v>
      </c>
      <c r="Q31" s="12">
        <f t="shared" si="3"/>
        <v>3638</v>
      </c>
      <c r="R31" s="12">
        <f t="shared" si="3"/>
        <v>3638</v>
      </c>
      <c r="S31" s="12">
        <f t="shared" si="3"/>
        <v>3638</v>
      </c>
      <c r="T31" s="12">
        <f t="shared" si="3"/>
        <v>3638</v>
      </c>
      <c r="U31" s="12">
        <f t="shared" si="3"/>
        <v>3638</v>
      </c>
      <c r="V31" s="12">
        <f t="shared" si="3"/>
        <v>3638</v>
      </c>
      <c r="W31" s="12">
        <f t="shared" si="3"/>
        <v>3638</v>
      </c>
      <c r="X31" s="59">
        <f>SUM(W31)</f>
        <v>3638</v>
      </c>
      <c r="Y31" s="74"/>
      <c r="Z31" s="31"/>
    </row>
    <row r="32" spans="1:25" s="31" customFormat="1" ht="12.75">
      <c r="A32" s="27"/>
      <c r="B32" s="58"/>
      <c r="C32" s="5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0"/>
      <c r="Y32" s="74"/>
    </row>
    <row r="33" spans="1:25" s="31" customFormat="1" ht="12.75">
      <c r="A33" s="19" t="s">
        <v>19</v>
      </c>
      <c r="B33" s="7"/>
      <c r="C33" s="7"/>
      <c r="D33" s="12">
        <f>SUM(D18-D27-D15-D30-D31)</f>
        <v>-41917.149999999994</v>
      </c>
      <c r="E33" s="12">
        <f aca="true" t="shared" si="4" ref="E33:X33">SUM(E18-E27-E15-E30-E31)</f>
        <v>-5189.299999999988</v>
      </c>
      <c r="F33" s="12">
        <f t="shared" si="4"/>
        <v>-5104.774000000005</v>
      </c>
      <c r="G33" s="12">
        <f t="shared" si="4"/>
        <v>-3190.0109999999986</v>
      </c>
      <c r="H33" s="12">
        <f t="shared" si="4"/>
        <v>-1275.2479999999923</v>
      </c>
      <c r="I33" s="12">
        <f t="shared" si="4"/>
        <v>639.515000000014</v>
      </c>
      <c r="J33" s="12">
        <f t="shared" si="4"/>
        <v>2554.277999999991</v>
      </c>
      <c r="K33" s="12">
        <f t="shared" si="4"/>
        <v>4469.0410000000265</v>
      </c>
      <c r="L33" s="12">
        <f t="shared" si="4"/>
        <v>6383.804000000004</v>
      </c>
      <c r="M33" s="12">
        <f t="shared" si="4"/>
        <v>8298.56700000001</v>
      </c>
      <c r="N33" s="12">
        <f t="shared" si="4"/>
        <v>10213.330000000016</v>
      </c>
      <c r="O33" s="12">
        <f t="shared" si="4"/>
        <v>12128.093000000023</v>
      </c>
      <c r="P33" s="12">
        <f t="shared" si="4"/>
        <v>14042.856</v>
      </c>
      <c r="Q33" s="12">
        <f t="shared" si="4"/>
        <v>15957.619000000006</v>
      </c>
      <c r="R33" s="12">
        <f t="shared" si="4"/>
        <v>17872.382000000012</v>
      </c>
      <c r="S33" s="12">
        <f t="shared" si="4"/>
        <v>19787.14500000002</v>
      </c>
      <c r="T33" s="12">
        <f t="shared" si="4"/>
        <v>21701.907999999996</v>
      </c>
      <c r="U33" s="12">
        <f t="shared" si="4"/>
        <v>23616.671000000002</v>
      </c>
      <c r="V33" s="12">
        <f t="shared" si="4"/>
        <v>25531.43400000001</v>
      </c>
      <c r="W33" s="12">
        <f t="shared" si="4"/>
        <v>27446.197000000015</v>
      </c>
      <c r="X33" s="59">
        <f t="shared" si="4"/>
        <v>82860.96000000002</v>
      </c>
      <c r="Y33" s="74"/>
    </row>
    <row r="34" spans="1:25" s="31" customFormat="1" ht="13.5" thickBot="1">
      <c r="A34" s="37" t="s">
        <v>20</v>
      </c>
      <c r="B34" s="38"/>
      <c r="C34" s="38"/>
      <c r="D34" s="39">
        <f aca="true" t="shared" si="5" ref="D34:X34">SUM(D18-D27-D28-D30-D31-D32)</f>
        <v>-95417.15</v>
      </c>
      <c r="E34" s="39">
        <f t="shared" si="5"/>
        <v>-5189.299999999988</v>
      </c>
      <c r="F34" s="39">
        <f t="shared" si="5"/>
        <v>-5104.774000000005</v>
      </c>
      <c r="G34" s="39">
        <f t="shared" si="5"/>
        <v>-3190.0109999999986</v>
      </c>
      <c r="H34" s="39">
        <f t="shared" si="5"/>
        <v>-1275.2479999999923</v>
      </c>
      <c r="I34" s="39">
        <f t="shared" si="5"/>
        <v>639.515000000014</v>
      </c>
      <c r="J34" s="39">
        <f t="shared" si="5"/>
        <v>2554.277999999991</v>
      </c>
      <c r="K34" s="39">
        <f t="shared" si="5"/>
        <v>4469.0410000000265</v>
      </c>
      <c r="L34" s="39">
        <f t="shared" si="5"/>
        <v>6383.804000000004</v>
      </c>
      <c r="M34" s="39">
        <f t="shared" si="5"/>
        <v>8298.56700000001</v>
      </c>
      <c r="N34" s="39">
        <f t="shared" si="5"/>
        <v>10213.330000000016</v>
      </c>
      <c r="O34" s="39">
        <f t="shared" si="5"/>
        <v>12128.093000000023</v>
      </c>
      <c r="P34" s="39">
        <f t="shared" si="5"/>
        <v>14042.856</v>
      </c>
      <c r="Q34" s="39">
        <f t="shared" si="5"/>
        <v>15957.619000000006</v>
      </c>
      <c r="R34" s="39">
        <f t="shared" si="5"/>
        <v>17872.382000000012</v>
      </c>
      <c r="S34" s="39">
        <f t="shared" si="5"/>
        <v>19787.14500000002</v>
      </c>
      <c r="T34" s="39">
        <f t="shared" si="5"/>
        <v>21701.907999999996</v>
      </c>
      <c r="U34" s="39">
        <f t="shared" si="5"/>
        <v>23616.671000000002</v>
      </c>
      <c r="V34" s="39">
        <f t="shared" si="5"/>
        <v>25531.43400000001</v>
      </c>
      <c r="W34" s="39">
        <f t="shared" si="5"/>
        <v>27446.197000000015</v>
      </c>
      <c r="X34" s="61">
        <f t="shared" si="5"/>
        <v>136360.96000000002</v>
      </c>
      <c r="Y34" s="74"/>
    </row>
    <row r="35" spans="1:25" s="31" customFormat="1" ht="12.75">
      <c r="A35" s="41"/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62"/>
      <c r="Y35" s="74"/>
    </row>
    <row r="36" spans="1:25" s="31" customFormat="1" ht="13.5" customHeight="1" thickBot="1">
      <c r="A36" s="45" t="s">
        <v>21</v>
      </c>
      <c r="B36" s="38"/>
      <c r="C36" s="38"/>
      <c r="D36" s="39">
        <f>SUM(D34)</f>
        <v>-95417.15</v>
      </c>
      <c r="E36" s="39">
        <f aca="true" t="shared" si="6" ref="E36:X36">SUM(D36+E34)</f>
        <v>-100606.44999999998</v>
      </c>
      <c r="F36" s="39">
        <f t="shared" si="6"/>
        <v>-105711.22399999999</v>
      </c>
      <c r="G36" s="39">
        <f t="shared" si="6"/>
        <v>-108901.23499999999</v>
      </c>
      <c r="H36" s="39">
        <f t="shared" si="6"/>
        <v>-110176.48299999998</v>
      </c>
      <c r="I36" s="39">
        <f t="shared" si="6"/>
        <v>-109536.96799999996</v>
      </c>
      <c r="J36" s="39">
        <f t="shared" si="6"/>
        <v>-106982.68999999997</v>
      </c>
      <c r="K36" s="39">
        <f t="shared" si="6"/>
        <v>-102513.64899999995</v>
      </c>
      <c r="L36" s="39">
        <f t="shared" si="6"/>
        <v>-96129.84499999994</v>
      </c>
      <c r="M36" s="39">
        <f t="shared" si="6"/>
        <v>-87831.27799999993</v>
      </c>
      <c r="N36" s="39">
        <f t="shared" si="6"/>
        <v>-77617.94799999992</v>
      </c>
      <c r="O36" s="39">
        <f t="shared" si="6"/>
        <v>-65489.854999999894</v>
      </c>
      <c r="P36" s="39">
        <f t="shared" si="6"/>
        <v>-51446.998999999894</v>
      </c>
      <c r="Q36" s="39">
        <f t="shared" si="6"/>
        <v>-35489.37999999989</v>
      </c>
      <c r="R36" s="39">
        <f t="shared" si="6"/>
        <v>-17616.997999999876</v>
      </c>
      <c r="S36" s="39">
        <f t="shared" si="6"/>
        <v>2170.1470000001427</v>
      </c>
      <c r="T36" s="39">
        <f t="shared" si="6"/>
        <v>23872.05500000014</v>
      </c>
      <c r="U36" s="39">
        <f t="shared" si="6"/>
        <v>47488.72600000014</v>
      </c>
      <c r="V36" s="39">
        <f t="shared" si="6"/>
        <v>73020.16000000015</v>
      </c>
      <c r="W36" s="39">
        <f t="shared" si="6"/>
        <v>100466.35700000016</v>
      </c>
      <c r="X36" s="61">
        <f t="shared" si="6"/>
        <v>236827.31700000018</v>
      </c>
      <c r="Y36" s="74"/>
    </row>
    <row r="37" spans="1:25" s="50" customFormat="1" ht="13.5" customHeight="1" thickBot="1">
      <c r="A37" s="46" t="s">
        <v>22</v>
      </c>
      <c r="B37" s="47"/>
      <c r="C37" s="47"/>
      <c r="D37" s="48">
        <f>SUM(D34*100/A12)</f>
        <v>-4.458745327102804</v>
      </c>
      <c r="E37" s="48">
        <f>SUM(E34*100/A12)</f>
        <v>-0.24249065420560692</v>
      </c>
      <c r="F37" s="48">
        <f>SUM(F34*100/A12)</f>
        <v>-0.23854084112149557</v>
      </c>
      <c r="G37" s="48">
        <f>SUM(G34*100/A12)</f>
        <v>-0.14906593457943917</v>
      </c>
      <c r="H37" s="48">
        <f>SUM(H34*100/A12)</f>
        <v>-0.059591028037382816</v>
      </c>
      <c r="I37" s="48">
        <f>SUM(I34*100/A12)</f>
        <v>0.02988387850467355</v>
      </c>
      <c r="J37" s="48">
        <f>SUM(J34*100/A12)</f>
        <v>0.11935878504672856</v>
      </c>
      <c r="K37" s="48">
        <f>SUM(K34*100/A12)</f>
        <v>0.20883369158878629</v>
      </c>
      <c r="L37" s="48">
        <f>SUM(L34*100/A12)</f>
        <v>0.2983085981308413</v>
      </c>
      <c r="M37" s="48">
        <f>SUM(M34*100/A12)</f>
        <v>0.3877835046728977</v>
      </c>
      <c r="N37" s="48">
        <f>SUM(N34*100/A12)</f>
        <v>0.47725841121495405</v>
      </c>
      <c r="O37" s="48">
        <f>SUM(O34*100/A12)</f>
        <v>0.5667333177570103</v>
      </c>
      <c r="P37" s="48">
        <f>SUM(P34*100/A12)</f>
        <v>0.6562082242990654</v>
      </c>
      <c r="Q37" s="48">
        <f>SUM(Q34*100/A12)</f>
        <v>0.7456831308411218</v>
      </c>
      <c r="R37" s="48">
        <f>SUM(R34*100/A12)</f>
        <v>0.8351580373831781</v>
      </c>
      <c r="S37" s="48">
        <f>SUM(S34*100/A12)</f>
        <v>0.9246329439252345</v>
      </c>
      <c r="T37" s="48">
        <f>SUM(T34*100/A12)</f>
        <v>1.0141078504672896</v>
      </c>
      <c r="U37" s="48">
        <f>SUM(U34*100/A12)</f>
        <v>1.103582757009346</v>
      </c>
      <c r="V37" s="48">
        <f>SUM(V34*100/A12)</f>
        <v>1.1930576635514023</v>
      </c>
      <c r="W37" s="48">
        <f>SUM(W34*100/A12)</f>
        <v>1.2825325700934587</v>
      </c>
      <c r="X37" s="48">
        <f>SUM(X34*100/A12)</f>
        <v>6.372007476635515</v>
      </c>
      <c r="Y37" s="78"/>
    </row>
    <row r="38" spans="1:26" s="31" customFormat="1" ht="13.5" thickBot="1">
      <c r="A38"/>
      <c r="B38" s="18" t="s">
        <v>23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52">
        <f>SUM(D37:X37)</f>
        <v>11.066697056074775</v>
      </c>
      <c r="V38" s="53" t="s">
        <v>24</v>
      </c>
      <c r="W38" s="54"/>
      <c r="X38" s="63">
        <f>SUM(U38/21)</f>
        <v>0.5269855740987988</v>
      </c>
      <c r="Y38" s="79"/>
      <c r="Z38" s="57"/>
    </row>
    <row r="39" spans="1:24" s="3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3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3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3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31" customFormat="1" ht="11.25" customHeight="1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25" customFormat="1" ht="12.75">
      <c r="A44" s="1"/>
      <c r="B44" s="2"/>
      <c r="C44" s="2"/>
      <c r="D44" s="2">
        <v>0</v>
      </c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80">
        <v>20</v>
      </c>
    </row>
    <row r="45" spans="1:24" s="25" customFormat="1" ht="12.75">
      <c r="A45" s="4"/>
      <c r="B45" s="5"/>
      <c r="C45" s="5"/>
      <c r="D45" s="5">
        <v>2011</v>
      </c>
      <c r="E45" s="5">
        <f aca="true" t="shared" si="7" ref="E45:W45">SUM(D45+1)</f>
        <v>2012</v>
      </c>
      <c r="F45" s="5">
        <f t="shared" si="7"/>
        <v>2013</v>
      </c>
      <c r="G45" s="5">
        <f t="shared" si="7"/>
        <v>2014</v>
      </c>
      <c r="H45" s="5">
        <f t="shared" si="7"/>
        <v>2015</v>
      </c>
      <c r="I45" s="5">
        <f t="shared" si="7"/>
        <v>2016</v>
      </c>
      <c r="J45" s="5">
        <f t="shared" si="7"/>
        <v>2017</v>
      </c>
      <c r="K45" s="5">
        <f t="shared" si="7"/>
        <v>2018</v>
      </c>
      <c r="L45" s="5">
        <f t="shared" si="7"/>
        <v>2019</v>
      </c>
      <c r="M45" s="5">
        <f t="shared" si="7"/>
        <v>2020</v>
      </c>
      <c r="N45" s="5">
        <f t="shared" si="7"/>
        <v>2021</v>
      </c>
      <c r="O45" s="5">
        <f t="shared" si="7"/>
        <v>2022</v>
      </c>
      <c r="P45" s="5">
        <f t="shared" si="7"/>
        <v>2023</v>
      </c>
      <c r="Q45" s="5">
        <f t="shared" si="7"/>
        <v>2024</v>
      </c>
      <c r="R45" s="5">
        <f t="shared" si="7"/>
        <v>2025</v>
      </c>
      <c r="S45" s="5">
        <f t="shared" si="7"/>
        <v>2026</v>
      </c>
      <c r="T45" s="5">
        <f t="shared" si="7"/>
        <v>2027</v>
      </c>
      <c r="U45" s="5">
        <f t="shared" si="7"/>
        <v>2028</v>
      </c>
      <c r="V45" s="5">
        <f t="shared" si="7"/>
        <v>2029</v>
      </c>
      <c r="W45" s="5">
        <f t="shared" si="7"/>
        <v>2030</v>
      </c>
      <c r="X45" s="81">
        <v>2031</v>
      </c>
    </row>
    <row r="46" spans="1:24" s="31" customFormat="1" ht="12.75">
      <c r="A46" s="6" t="s">
        <v>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2"/>
    </row>
    <row r="47" spans="1:24" s="31" customFormat="1" ht="15.75">
      <c r="A47" s="8">
        <f>SUM(D47*B58)</f>
        <v>2200000</v>
      </c>
      <c r="B47" s="5" t="s">
        <v>1</v>
      </c>
      <c r="C47" s="5"/>
      <c r="D47" s="9">
        <v>2200</v>
      </c>
      <c r="E47" s="7" t="s">
        <v>2</v>
      </c>
      <c r="F47" s="7"/>
      <c r="G47" s="7"/>
      <c r="H47" s="7"/>
      <c r="I47" s="10"/>
      <c r="J47" s="1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2"/>
    </row>
    <row r="48" spans="1:24" s="31" customFormat="1" ht="12.75">
      <c r="A48" s="8">
        <v>40000</v>
      </c>
      <c r="B48" s="5" t="s">
        <v>3</v>
      </c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2"/>
    </row>
    <row r="49" spans="1:24" s="31" customFormat="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2"/>
    </row>
    <row r="50" spans="1:25" s="31" customFormat="1" ht="12.75">
      <c r="A50" s="11"/>
      <c r="B50" s="7"/>
      <c r="C50" s="7" t="s">
        <v>4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83"/>
      <c r="Y50" s="70"/>
    </row>
    <row r="51" spans="1:25" s="72" customFormat="1" ht="12.75">
      <c r="A51" s="14">
        <f>SUM(A47:A48)</f>
        <v>2240000</v>
      </c>
      <c r="B51" s="15" t="s">
        <v>5</v>
      </c>
      <c r="C51" s="16">
        <v>0.035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84"/>
      <c r="Y51" s="71"/>
    </row>
    <row r="52" spans="1:25" s="72" customFormat="1" ht="12.75">
      <c r="A52" s="19"/>
      <c r="B52" s="15" t="s">
        <v>6</v>
      </c>
      <c r="C52" s="1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73"/>
      <c r="Y52" s="71"/>
    </row>
    <row r="53" spans="1:25" s="72" customFormat="1" ht="12.75">
      <c r="A53" s="19"/>
      <c r="B53" s="15" t="s">
        <v>7</v>
      </c>
      <c r="C53" s="15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73"/>
      <c r="Y53" s="71"/>
    </row>
    <row r="54" spans="1:24" s="31" customFormat="1" ht="12.75">
      <c r="A54" s="6" t="s">
        <v>8</v>
      </c>
      <c r="B54" s="7"/>
      <c r="C54" s="7"/>
      <c r="D54" s="12">
        <f>SUM(A51/20/2)</f>
        <v>56000</v>
      </c>
      <c r="E54" s="12">
        <f>SUM(A51/20)</f>
        <v>112000</v>
      </c>
      <c r="F54" s="12">
        <f aca="true" t="shared" si="8" ref="F54:W54">SUM(E54)</f>
        <v>112000</v>
      </c>
      <c r="G54" s="12">
        <f t="shared" si="8"/>
        <v>112000</v>
      </c>
      <c r="H54" s="12">
        <f t="shared" si="8"/>
        <v>112000</v>
      </c>
      <c r="I54" s="12">
        <f t="shared" si="8"/>
        <v>112000</v>
      </c>
      <c r="J54" s="12">
        <f t="shared" si="8"/>
        <v>112000</v>
      </c>
      <c r="K54" s="12">
        <f t="shared" si="8"/>
        <v>112000</v>
      </c>
      <c r="L54" s="12">
        <f t="shared" si="8"/>
        <v>112000</v>
      </c>
      <c r="M54" s="12">
        <f t="shared" si="8"/>
        <v>112000</v>
      </c>
      <c r="N54" s="12">
        <f t="shared" si="8"/>
        <v>112000</v>
      </c>
      <c r="O54" s="12">
        <f t="shared" si="8"/>
        <v>112000</v>
      </c>
      <c r="P54" s="12">
        <f t="shared" si="8"/>
        <v>112000</v>
      </c>
      <c r="Q54" s="12">
        <f t="shared" si="8"/>
        <v>112000</v>
      </c>
      <c r="R54" s="12">
        <f t="shared" si="8"/>
        <v>112000</v>
      </c>
      <c r="S54" s="12">
        <f t="shared" si="8"/>
        <v>112000</v>
      </c>
      <c r="T54" s="12">
        <f t="shared" si="8"/>
        <v>112000</v>
      </c>
      <c r="U54" s="12">
        <f t="shared" si="8"/>
        <v>112000</v>
      </c>
      <c r="V54" s="12">
        <f t="shared" si="8"/>
        <v>112000</v>
      </c>
      <c r="W54" s="12">
        <f t="shared" si="8"/>
        <v>112000</v>
      </c>
      <c r="X54" s="83">
        <f>SUM(A51/20/2)</f>
        <v>56000</v>
      </c>
    </row>
    <row r="55" spans="1:24" s="31" customFormat="1" ht="12.75">
      <c r="A55" s="6"/>
      <c r="B55" s="7"/>
      <c r="C55" s="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85"/>
    </row>
    <row r="56" spans="1:24" s="25" customFormat="1" ht="12.75">
      <c r="A56" s="21" t="s">
        <v>9</v>
      </c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/>
    </row>
    <row r="57" spans="1:24" s="31" customFormat="1" ht="12.75">
      <c r="A57" s="6" t="s">
        <v>10</v>
      </c>
      <c r="B57" s="9">
        <v>867</v>
      </c>
      <c r="C57" s="5" t="s">
        <v>11</v>
      </c>
      <c r="D57" s="12">
        <f>SUM(B57*B58*B59/100/2)</f>
        <v>91511.85</v>
      </c>
      <c r="E57" s="12">
        <f>SUM(B57*B58*B59/100)</f>
        <v>183023.7</v>
      </c>
      <c r="F57" s="12">
        <f>SUM(E57*0.98)</f>
        <v>179363.226</v>
      </c>
      <c r="G57" s="12">
        <f>SUM(E57*0.97)</f>
        <v>177532.989</v>
      </c>
      <c r="H57" s="12">
        <f>SUM(E57*0.96)</f>
        <v>175702.752</v>
      </c>
      <c r="I57" s="12">
        <f>SUM(E57*0.95)</f>
        <v>173872.515</v>
      </c>
      <c r="J57" s="12">
        <f>SUM(E57*0.94)</f>
        <v>172042.278</v>
      </c>
      <c r="K57" s="12">
        <f>SUM(E57*0.93)</f>
        <v>170212.04100000003</v>
      </c>
      <c r="L57" s="20">
        <f>SUM(E57*0.92)</f>
        <v>168381.804</v>
      </c>
      <c r="M57" s="12">
        <f>SUM(E57*0.91)</f>
        <v>166551.567</v>
      </c>
      <c r="N57" s="12">
        <f>SUM(E57*0.9)</f>
        <v>164721.33000000002</v>
      </c>
      <c r="O57" s="12">
        <f>SUM(E57*0.89)</f>
        <v>162891.09300000002</v>
      </c>
      <c r="P57" s="12">
        <f>SUM(E57*0.88)</f>
        <v>161060.856</v>
      </c>
      <c r="Q57" s="12">
        <f>SUM(E57*0.87)</f>
        <v>159230.619</v>
      </c>
      <c r="R57" s="12">
        <f>SUM(E57*0.86)</f>
        <v>157400.382</v>
      </c>
      <c r="S57" s="12">
        <f>SUM(E57*0.85)</f>
        <v>155570.14500000002</v>
      </c>
      <c r="T57" s="12">
        <f>SUM(E57*0.84)</f>
        <v>153739.908</v>
      </c>
      <c r="U57" s="12">
        <f>SUM(E57*0.83)</f>
        <v>151909.671</v>
      </c>
      <c r="V57" s="12">
        <f>SUM(E57*0.82)</f>
        <v>150079.434</v>
      </c>
      <c r="W57" s="12">
        <f>SUM(E57*0.81)</f>
        <v>148249.19700000001</v>
      </c>
      <c r="X57" s="83">
        <f>SUM(E57*0.8)</f>
        <v>146418.96000000002</v>
      </c>
    </row>
    <row r="58" spans="1:24" s="31" customFormat="1" ht="12.75">
      <c r="A58" s="26">
        <v>2011</v>
      </c>
      <c r="B58" s="5">
        <v>1000</v>
      </c>
      <c r="C58" s="5" t="s">
        <v>12</v>
      </c>
      <c r="D58" s="12"/>
      <c r="E58" s="12"/>
      <c r="F58" s="12"/>
      <c r="G58" s="12"/>
      <c r="H58" s="12"/>
      <c r="I58" s="12"/>
      <c r="J58" s="12"/>
      <c r="K58" s="12"/>
      <c r="L58" s="20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83"/>
    </row>
    <row r="59" spans="1:24" s="31" customFormat="1" ht="12.75">
      <c r="A59" s="6"/>
      <c r="B59" s="5">
        <v>21.11</v>
      </c>
      <c r="C59" s="5" t="s">
        <v>13</v>
      </c>
      <c r="D59" s="12"/>
      <c r="E59" s="12"/>
      <c r="F59" s="12"/>
      <c r="G59" s="12"/>
      <c r="H59" s="12"/>
      <c r="I59" s="12"/>
      <c r="J59" s="12"/>
      <c r="K59" s="12"/>
      <c r="L59" s="20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83"/>
    </row>
    <row r="60" spans="1:24" s="31" customFormat="1" ht="12.75">
      <c r="A60" s="6"/>
      <c r="B60" s="5">
        <v>1</v>
      </c>
      <c r="C60" s="5" t="s">
        <v>14</v>
      </c>
      <c r="D60" s="12"/>
      <c r="E60" s="12"/>
      <c r="F60" s="12"/>
      <c r="G60" s="12"/>
      <c r="H60" s="12"/>
      <c r="I60" s="12"/>
      <c r="J60" s="12"/>
      <c r="K60" s="12"/>
      <c r="L60" s="20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83"/>
    </row>
    <row r="61" spans="1:24" s="31" customFormat="1" ht="12.75">
      <c r="A61" s="6"/>
      <c r="B61" s="5"/>
      <c r="C61" s="5"/>
      <c r="D61" s="12"/>
      <c r="E61" s="12"/>
      <c r="F61" s="12"/>
      <c r="G61" s="12"/>
      <c r="H61" s="12"/>
      <c r="I61" s="12"/>
      <c r="J61" s="12"/>
      <c r="K61" s="12"/>
      <c r="L61" s="20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83"/>
    </row>
    <row r="62" spans="1:24" s="31" customFormat="1" ht="12.75">
      <c r="A62" s="6"/>
      <c r="B62" s="5"/>
      <c r="C62" s="5"/>
      <c r="D62" s="12"/>
      <c r="E62" s="12"/>
      <c r="F62" s="12"/>
      <c r="G62" s="12"/>
      <c r="H62" s="12"/>
      <c r="I62" s="12"/>
      <c r="J62" s="12"/>
      <c r="K62" s="12"/>
      <c r="L62" s="20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83"/>
    </row>
    <row r="63" spans="1:24" s="31" customFormat="1" ht="12.75">
      <c r="A63" s="21" t="s">
        <v>26</v>
      </c>
      <c r="B63" s="22"/>
      <c r="C63" s="22"/>
      <c r="D63" s="28"/>
      <c r="E63" s="28"/>
      <c r="F63" s="28"/>
      <c r="G63" s="28"/>
      <c r="H63" s="28"/>
      <c r="I63" s="28"/>
      <c r="J63" s="28"/>
      <c r="K63" s="28"/>
      <c r="L63" s="29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30"/>
    </row>
    <row r="64" spans="1:24" s="31" customFormat="1" ht="12.75">
      <c r="A64" s="6" t="s">
        <v>15</v>
      </c>
      <c r="B64" s="5"/>
      <c r="C64" s="5"/>
      <c r="D64" s="12">
        <f>SUM(((A51)*C51)+(A51/20))</f>
        <v>190400</v>
      </c>
      <c r="E64" s="12">
        <f>SUM(((A51-(A51/20*E44))*C51)+(A51/20))</f>
        <v>186480</v>
      </c>
      <c r="F64" s="12">
        <f>SUM(((A51-(A51/20*F44))*C51)+(A51/20))</f>
        <v>182560</v>
      </c>
      <c r="G64" s="12">
        <f>SUM(((A51-(A51/20*G44))*C51)+(A51/20))</f>
        <v>178640</v>
      </c>
      <c r="H64" s="12">
        <f>SUM(((A51-(A51/20*H44))*C51)+(A51/20))</f>
        <v>174720</v>
      </c>
      <c r="I64" s="12">
        <f>SUM(((A51-(A51/20*I44))*C51)+(A51/20))</f>
        <v>170800</v>
      </c>
      <c r="J64" s="12">
        <f>SUM(((A51-(A51/20*J44))*C51)+(A51/20))</f>
        <v>166880</v>
      </c>
      <c r="K64" s="12">
        <f>SUM(((A51-(A51/20*K44))*C51)+(A51/20))</f>
        <v>162960</v>
      </c>
      <c r="L64" s="12">
        <f>SUM(((A51-(A51/20*L44))*C51)+(A51/20))</f>
        <v>159040</v>
      </c>
      <c r="M64" s="12">
        <f>SUM(((A51-(A51/20*M44))*C51)+(A51/20))</f>
        <v>155120</v>
      </c>
      <c r="N64" s="20">
        <f>SUM(((A51-(A51/20*N44))*C51)+(A51/20))</f>
        <v>151200</v>
      </c>
      <c r="O64" s="20">
        <f>SUM(((A51-(A51/20*O44))*C51)+(A51/20))</f>
        <v>147280</v>
      </c>
      <c r="P64" s="20">
        <f>SUM(((A51-(A51/20*P44))*C51)+(A51/20))</f>
        <v>143360</v>
      </c>
      <c r="Q64" s="20">
        <f>SUM(((A51-(A51/20*Q44))*C51)+(A51/20))</f>
        <v>139440</v>
      </c>
      <c r="R64" s="20">
        <f>SUM(((A51-(A51/20*R44))*C51)+(A51/20))</f>
        <v>135520</v>
      </c>
      <c r="S64" s="20">
        <f>SUM(((A51-(A51/20*S44))*C51)+(A51/20))</f>
        <v>131600</v>
      </c>
      <c r="T64" s="20">
        <f>SUM(((A51-(A51/20*T44))*C51)+(A51/20))</f>
        <v>127680</v>
      </c>
      <c r="U64" s="20">
        <f>SUM(((A51-(A51/20*U44))*C51)+(A51/20))</f>
        <v>123760</v>
      </c>
      <c r="V64" s="20">
        <f>SUM(((A51-(A51/20*V44))*C51)+(A51/20))</f>
        <v>119840</v>
      </c>
      <c r="W64" s="20">
        <f>SUM(((A51-(A51/20*W44))*C51)+(A51/20))</f>
        <v>115920</v>
      </c>
      <c r="X64" s="86"/>
    </row>
    <row r="65" spans="1:24" s="31" customFormat="1" ht="12.75">
      <c r="A65" s="6"/>
      <c r="B65" s="5"/>
      <c r="C65" s="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86"/>
    </row>
    <row r="66" spans="1:24" s="31" customFormat="1" ht="12.75">
      <c r="A66" s="32" t="s">
        <v>25</v>
      </c>
      <c r="B66" s="33"/>
      <c r="C66" s="33"/>
      <c r="D66" s="34">
        <f aca="true" t="shared" si="9" ref="D66:W66">SUM(D64-D67)</f>
        <v>78400</v>
      </c>
      <c r="E66" s="34">
        <f t="shared" si="9"/>
        <v>74480</v>
      </c>
      <c r="F66" s="34">
        <f t="shared" si="9"/>
        <v>70560</v>
      </c>
      <c r="G66" s="34">
        <f t="shared" si="9"/>
        <v>66640</v>
      </c>
      <c r="H66" s="34">
        <f t="shared" si="9"/>
        <v>62720</v>
      </c>
      <c r="I66" s="34">
        <f t="shared" si="9"/>
        <v>58800</v>
      </c>
      <c r="J66" s="34">
        <f t="shared" si="9"/>
        <v>54880</v>
      </c>
      <c r="K66" s="34">
        <f t="shared" si="9"/>
        <v>50960</v>
      </c>
      <c r="L66" s="34">
        <f t="shared" si="9"/>
        <v>47040</v>
      </c>
      <c r="M66" s="34">
        <f t="shared" si="9"/>
        <v>43120</v>
      </c>
      <c r="N66" s="34">
        <f t="shared" si="9"/>
        <v>39200</v>
      </c>
      <c r="O66" s="34">
        <f t="shared" si="9"/>
        <v>35280</v>
      </c>
      <c r="P66" s="34">
        <f t="shared" si="9"/>
        <v>31360</v>
      </c>
      <c r="Q66" s="34">
        <f t="shared" si="9"/>
        <v>27440</v>
      </c>
      <c r="R66" s="34">
        <f t="shared" si="9"/>
        <v>23520</v>
      </c>
      <c r="S66" s="34">
        <f t="shared" si="9"/>
        <v>19600</v>
      </c>
      <c r="T66" s="34">
        <f t="shared" si="9"/>
        <v>15680</v>
      </c>
      <c r="U66" s="34">
        <f t="shared" si="9"/>
        <v>11760</v>
      </c>
      <c r="V66" s="34">
        <f t="shared" si="9"/>
        <v>7840</v>
      </c>
      <c r="W66" s="34">
        <f t="shared" si="9"/>
        <v>3920</v>
      </c>
      <c r="X66" s="87"/>
    </row>
    <row r="67" spans="1:24" s="31" customFormat="1" ht="12.75">
      <c r="A67" s="35" t="s">
        <v>16</v>
      </c>
      <c r="B67" s="33"/>
      <c r="C67" s="33"/>
      <c r="D67" s="34">
        <f>SUM(A51/20)</f>
        <v>112000</v>
      </c>
      <c r="E67" s="34">
        <f>SUM(A51/20)</f>
        <v>112000</v>
      </c>
      <c r="F67" s="34">
        <f aca="true" t="shared" si="10" ref="F67:W70">SUM(E67)</f>
        <v>112000</v>
      </c>
      <c r="G67" s="34">
        <f t="shared" si="10"/>
        <v>112000</v>
      </c>
      <c r="H67" s="34">
        <f t="shared" si="10"/>
        <v>112000</v>
      </c>
      <c r="I67" s="34">
        <f t="shared" si="10"/>
        <v>112000</v>
      </c>
      <c r="J67" s="34">
        <f t="shared" si="10"/>
        <v>112000</v>
      </c>
      <c r="K67" s="34">
        <f t="shared" si="10"/>
        <v>112000</v>
      </c>
      <c r="L67" s="34">
        <f t="shared" si="10"/>
        <v>112000</v>
      </c>
      <c r="M67" s="34">
        <f t="shared" si="10"/>
        <v>112000</v>
      </c>
      <c r="N67" s="34">
        <f t="shared" si="10"/>
        <v>112000</v>
      </c>
      <c r="O67" s="34">
        <f t="shared" si="10"/>
        <v>112000</v>
      </c>
      <c r="P67" s="34">
        <f t="shared" si="10"/>
        <v>112000</v>
      </c>
      <c r="Q67" s="34">
        <f t="shared" si="10"/>
        <v>112000</v>
      </c>
      <c r="R67" s="34">
        <f t="shared" si="10"/>
        <v>112000</v>
      </c>
      <c r="S67" s="34">
        <f t="shared" si="10"/>
        <v>112000</v>
      </c>
      <c r="T67" s="34">
        <f t="shared" si="10"/>
        <v>112000</v>
      </c>
      <c r="U67" s="34">
        <f t="shared" si="10"/>
        <v>112000</v>
      </c>
      <c r="V67" s="34">
        <f t="shared" si="10"/>
        <v>112000</v>
      </c>
      <c r="W67" s="34">
        <f t="shared" si="10"/>
        <v>112000</v>
      </c>
      <c r="X67" s="87"/>
    </row>
    <row r="68" spans="1:24" s="31" customFormat="1" ht="12.75">
      <c r="A68" s="35"/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87"/>
    </row>
    <row r="69" spans="1:24" s="31" customFormat="1" ht="12.75">
      <c r="A69" s="19" t="s">
        <v>17</v>
      </c>
      <c r="B69" s="7"/>
      <c r="C69" s="36"/>
      <c r="D69" s="12">
        <f>SUM(A51*0.003/2)</f>
        <v>3360</v>
      </c>
      <c r="E69" s="12">
        <f>SUM(A51*0.003)</f>
        <v>6720</v>
      </c>
      <c r="F69" s="12">
        <f t="shared" si="10"/>
        <v>6720</v>
      </c>
      <c r="G69" s="12">
        <f t="shared" si="10"/>
        <v>6720</v>
      </c>
      <c r="H69" s="12">
        <f t="shared" si="10"/>
        <v>6720</v>
      </c>
      <c r="I69" s="12">
        <f t="shared" si="10"/>
        <v>6720</v>
      </c>
      <c r="J69" s="12">
        <f t="shared" si="10"/>
        <v>6720</v>
      </c>
      <c r="K69" s="12">
        <f t="shared" si="10"/>
        <v>6720</v>
      </c>
      <c r="L69" s="12">
        <f t="shared" si="10"/>
        <v>6720</v>
      </c>
      <c r="M69" s="12">
        <f t="shared" si="10"/>
        <v>6720</v>
      </c>
      <c r="N69" s="12">
        <f t="shared" si="10"/>
        <v>6720</v>
      </c>
      <c r="O69" s="12">
        <f t="shared" si="10"/>
        <v>6720</v>
      </c>
      <c r="P69" s="12">
        <f t="shared" si="10"/>
        <v>6720</v>
      </c>
      <c r="Q69" s="12">
        <f t="shared" si="10"/>
        <v>6720</v>
      </c>
      <c r="R69" s="12">
        <f t="shared" si="10"/>
        <v>6720</v>
      </c>
      <c r="S69" s="12">
        <f t="shared" si="10"/>
        <v>6720</v>
      </c>
      <c r="T69" s="12">
        <f t="shared" si="10"/>
        <v>6720</v>
      </c>
      <c r="U69" s="12">
        <f t="shared" si="10"/>
        <v>6720</v>
      </c>
      <c r="V69" s="12">
        <f t="shared" si="10"/>
        <v>6720</v>
      </c>
      <c r="W69" s="12">
        <f t="shared" si="10"/>
        <v>6720</v>
      </c>
      <c r="X69" s="83">
        <f>SUM(W69)</f>
        <v>6720</v>
      </c>
    </row>
    <row r="70" spans="1:24" s="31" customFormat="1" ht="12.75">
      <c r="A70" s="6" t="s">
        <v>18</v>
      </c>
      <c r="B70" s="7"/>
      <c r="C70" s="7"/>
      <c r="D70" s="12">
        <f>SUM(A51*0.0017/2)</f>
        <v>1904</v>
      </c>
      <c r="E70" s="12">
        <f>SUM(A51*0.0017)</f>
        <v>3808</v>
      </c>
      <c r="F70" s="12">
        <f t="shared" si="10"/>
        <v>3808</v>
      </c>
      <c r="G70" s="12">
        <f t="shared" si="10"/>
        <v>3808</v>
      </c>
      <c r="H70" s="12">
        <f t="shared" si="10"/>
        <v>3808</v>
      </c>
      <c r="I70" s="12">
        <f t="shared" si="10"/>
        <v>3808</v>
      </c>
      <c r="J70" s="12">
        <f t="shared" si="10"/>
        <v>3808</v>
      </c>
      <c r="K70" s="12">
        <f t="shared" si="10"/>
        <v>3808</v>
      </c>
      <c r="L70" s="12">
        <f t="shared" si="10"/>
        <v>3808</v>
      </c>
      <c r="M70" s="12">
        <f t="shared" si="10"/>
        <v>3808</v>
      </c>
      <c r="N70" s="12">
        <f t="shared" si="10"/>
        <v>3808</v>
      </c>
      <c r="O70" s="12">
        <f t="shared" si="10"/>
        <v>3808</v>
      </c>
      <c r="P70" s="12">
        <f t="shared" si="10"/>
        <v>3808</v>
      </c>
      <c r="Q70" s="12">
        <f t="shared" si="10"/>
        <v>3808</v>
      </c>
      <c r="R70" s="12">
        <f t="shared" si="10"/>
        <v>3808</v>
      </c>
      <c r="S70" s="12">
        <f t="shared" si="10"/>
        <v>3808</v>
      </c>
      <c r="T70" s="12">
        <f t="shared" si="10"/>
        <v>3808</v>
      </c>
      <c r="U70" s="12">
        <f t="shared" si="10"/>
        <v>3808</v>
      </c>
      <c r="V70" s="12">
        <f t="shared" si="10"/>
        <v>3808</v>
      </c>
      <c r="W70" s="12">
        <f t="shared" si="10"/>
        <v>3808</v>
      </c>
      <c r="X70" s="83">
        <f>SUM(W70)</f>
        <v>3808</v>
      </c>
    </row>
    <row r="71" spans="1:24" s="31" customFormat="1" ht="12.75">
      <c r="A71" s="27"/>
      <c r="B71" s="58"/>
      <c r="C71" s="5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0"/>
    </row>
    <row r="72" spans="1:24" s="31" customFormat="1" ht="12.75">
      <c r="A72" s="19" t="s">
        <v>19</v>
      </c>
      <c r="B72" s="7"/>
      <c r="C72" s="7"/>
      <c r="D72" s="12">
        <f>SUM(D57-D66-D54-D69-D70)</f>
        <v>-48152.149999999994</v>
      </c>
      <c r="E72" s="12">
        <f aca="true" t="shared" si="11" ref="E72:X72">SUM(E57-E66-E54-E69-E70)</f>
        <v>-13984.299999999988</v>
      </c>
      <c r="F72" s="12">
        <f t="shared" si="11"/>
        <v>-13724.774000000005</v>
      </c>
      <c r="G72" s="12">
        <f t="shared" si="11"/>
        <v>-11635.010999999999</v>
      </c>
      <c r="H72" s="12">
        <f t="shared" si="11"/>
        <v>-9545.247999999992</v>
      </c>
      <c r="I72" s="12">
        <f t="shared" si="11"/>
        <v>-7455.484999999986</v>
      </c>
      <c r="J72" s="12">
        <f t="shared" si="11"/>
        <v>-5365.722000000009</v>
      </c>
      <c r="K72" s="12">
        <f t="shared" si="11"/>
        <v>-3275.9589999999735</v>
      </c>
      <c r="L72" s="12">
        <f t="shared" si="11"/>
        <v>-1186.1959999999963</v>
      </c>
      <c r="M72" s="12">
        <f t="shared" si="11"/>
        <v>903.56700000001</v>
      </c>
      <c r="N72" s="12">
        <f t="shared" si="11"/>
        <v>2993.3300000000163</v>
      </c>
      <c r="O72" s="12">
        <f t="shared" si="11"/>
        <v>5083.093000000023</v>
      </c>
      <c r="P72" s="12">
        <f t="shared" si="11"/>
        <v>7172.856</v>
      </c>
      <c r="Q72" s="12">
        <f t="shared" si="11"/>
        <v>9262.619000000006</v>
      </c>
      <c r="R72" s="12">
        <f t="shared" si="11"/>
        <v>11352.382000000012</v>
      </c>
      <c r="S72" s="12">
        <f t="shared" si="11"/>
        <v>13442.145000000019</v>
      </c>
      <c r="T72" s="12">
        <f t="shared" si="11"/>
        <v>15531.907999999996</v>
      </c>
      <c r="U72" s="12">
        <f t="shared" si="11"/>
        <v>17621.671000000002</v>
      </c>
      <c r="V72" s="12">
        <f t="shared" si="11"/>
        <v>19711.43400000001</v>
      </c>
      <c r="W72" s="12">
        <f t="shared" si="11"/>
        <v>21801.197000000015</v>
      </c>
      <c r="X72" s="83">
        <f t="shared" si="11"/>
        <v>79890.96000000002</v>
      </c>
    </row>
    <row r="73" spans="1:25" s="31" customFormat="1" ht="13.5" thickBot="1">
      <c r="A73" s="37" t="s">
        <v>20</v>
      </c>
      <c r="B73" s="38"/>
      <c r="C73" s="38"/>
      <c r="D73" s="39">
        <f aca="true" t="shared" si="12" ref="D73:X73">SUM(D57-D66-D67-D69-D70-D71)</f>
        <v>-104152.15</v>
      </c>
      <c r="E73" s="39">
        <f t="shared" si="12"/>
        <v>-13984.299999999988</v>
      </c>
      <c r="F73" s="39">
        <f t="shared" si="12"/>
        <v>-13724.774000000005</v>
      </c>
      <c r="G73" s="39">
        <f t="shared" si="12"/>
        <v>-11635.010999999999</v>
      </c>
      <c r="H73" s="39">
        <f t="shared" si="12"/>
        <v>-9545.247999999992</v>
      </c>
      <c r="I73" s="39">
        <f t="shared" si="12"/>
        <v>-7455.484999999986</v>
      </c>
      <c r="J73" s="39">
        <f t="shared" si="12"/>
        <v>-5365.722000000009</v>
      </c>
      <c r="K73" s="39">
        <f t="shared" si="12"/>
        <v>-3275.9589999999735</v>
      </c>
      <c r="L73" s="39">
        <f t="shared" si="12"/>
        <v>-1186.1959999999963</v>
      </c>
      <c r="M73" s="39">
        <f t="shared" si="12"/>
        <v>903.56700000001</v>
      </c>
      <c r="N73" s="39">
        <f t="shared" si="12"/>
        <v>2993.3300000000163</v>
      </c>
      <c r="O73" s="39">
        <f t="shared" si="12"/>
        <v>5083.093000000023</v>
      </c>
      <c r="P73" s="39">
        <f t="shared" si="12"/>
        <v>7172.856</v>
      </c>
      <c r="Q73" s="39">
        <f t="shared" si="12"/>
        <v>9262.619000000006</v>
      </c>
      <c r="R73" s="39">
        <f t="shared" si="12"/>
        <v>11352.382000000012</v>
      </c>
      <c r="S73" s="39">
        <f t="shared" si="12"/>
        <v>13442.145000000019</v>
      </c>
      <c r="T73" s="39">
        <f t="shared" si="12"/>
        <v>15531.907999999996</v>
      </c>
      <c r="U73" s="39">
        <f t="shared" si="12"/>
        <v>17621.671000000002</v>
      </c>
      <c r="V73" s="39">
        <f t="shared" si="12"/>
        <v>19711.43400000001</v>
      </c>
      <c r="W73" s="39">
        <f t="shared" si="12"/>
        <v>21801.197000000015</v>
      </c>
      <c r="X73" s="40">
        <f t="shared" si="12"/>
        <v>135890.96000000002</v>
      </c>
      <c r="Y73"/>
    </row>
    <row r="74" spans="1:25" s="31" customFormat="1" ht="12.75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4"/>
      <c r="Y74"/>
    </row>
    <row r="75" spans="1:24" ht="13.5" customHeight="1" thickBot="1">
      <c r="A75" s="45" t="s">
        <v>21</v>
      </c>
      <c r="B75" s="38"/>
      <c r="C75" s="38"/>
      <c r="D75" s="39">
        <f>SUM(D73)</f>
        <v>-104152.15</v>
      </c>
      <c r="E75" s="39">
        <f aca="true" t="shared" si="13" ref="E75:X75">SUM(D75+E73)</f>
        <v>-118136.44999999998</v>
      </c>
      <c r="F75" s="39">
        <f t="shared" si="13"/>
        <v>-131861.224</v>
      </c>
      <c r="G75" s="39">
        <f t="shared" si="13"/>
        <v>-143496.235</v>
      </c>
      <c r="H75" s="39">
        <f t="shared" si="13"/>
        <v>-153041.48299999998</v>
      </c>
      <c r="I75" s="39">
        <f t="shared" si="13"/>
        <v>-160496.96799999996</v>
      </c>
      <c r="J75" s="39">
        <f t="shared" si="13"/>
        <v>-165862.68999999997</v>
      </c>
      <c r="K75" s="39">
        <f t="shared" si="13"/>
        <v>-169138.64899999995</v>
      </c>
      <c r="L75" s="39">
        <f t="shared" si="13"/>
        <v>-170324.84499999994</v>
      </c>
      <c r="M75" s="39">
        <f t="shared" si="13"/>
        <v>-169421.27799999993</v>
      </c>
      <c r="N75" s="39">
        <f t="shared" si="13"/>
        <v>-166427.94799999992</v>
      </c>
      <c r="O75" s="39">
        <f t="shared" si="13"/>
        <v>-161344.8549999999</v>
      </c>
      <c r="P75" s="39">
        <f t="shared" si="13"/>
        <v>-154171.9989999999</v>
      </c>
      <c r="Q75" s="39">
        <f t="shared" si="13"/>
        <v>-144909.3799999999</v>
      </c>
      <c r="R75" s="39">
        <f t="shared" si="13"/>
        <v>-133556.99799999988</v>
      </c>
      <c r="S75" s="39">
        <f t="shared" si="13"/>
        <v>-120114.85299999986</v>
      </c>
      <c r="T75" s="39">
        <f t="shared" si="13"/>
        <v>-104582.94499999986</v>
      </c>
      <c r="U75" s="39">
        <f t="shared" si="13"/>
        <v>-86961.27399999986</v>
      </c>
      <c r="V75" s="39">
        <f t="shared" si="13"/>
        <v>-67249.83999999985</v>
      </c>
      <c r="W75" s="39">
        <f t="shared" si="13"/>
        <v>-45448.642999999836</v>
      </c>
      <c r="X75" s="40">
        <f t="shared" si="13"/>
        <v>90442.31700000018</v>
      </c>
    </row>
    <row r="76" spans="1:26" s="51" customFormat="1" ht="13.5" customHeight="1" thickBot="1">
      <c r="A76" s="46" t="s">
        <v>22</v>
      </c>
      <c r="B76" s="47"/>
      <c r="C76" s="47"/>
      <c r="D76" s="48">
        <f>SUM(D73*100/A51)</f>
        <v>-4.649649553571429</v>
      </c>
      <c r="E76" s="48">
        <f>SUM(E73*100/A51)</f>
        <v>-0.6242991071428566</v>
      </c>
      <c r="F76" s="48">
        <f>SUM(F73*100/A51)</f>
        <v>-0.6127131250000002</v>
      </c>
      <c r="G76" s="48">
        <f>SUM(G73*100/A51)</f>
        <v>-0.5194201339285713</v>
      </c>
      <c r="H76" s="48">
        <f>SUM(H73*100/A51)</f>
        <v>-0.42612714285714254</v>
      </c>
      <c r="I76" s="48">
        <f>SUM(I73*100/A51)</f>
        <v>-0.3328341517857137</v>
      </c>
      <c r="J76" s="48">
        <f>SUM(J73*100/A51)</f>
        <v>-0.2395411607142861</v>
      </c>
      <c r="K76" s="48">
        <f>SUM(K73*100/A51)</f>
        <v>-0.14624816964285595</v>
      </c>
      <c r="L76" s="48">
        <f>SUM(L73*100/A51)</f>
        <v>-0.0529551785714284</v>
      </c>
      <c r="M76" s="48">
        <f>SUM(M73*100/A51)</f>
        <v>0.040337812500000444</v>
      </c>
      <c r="N76" s="48">
        <f>SUM(N73*100/A51)</f>
        <v>0.13363080357142929</v>
      </c>
      <c r="O76" s="48">
        <f>SUM(O73*100/A51)</f>
        <v>0.22692379464285814</v>
      </c>
      <c r="P76" s="48">
        <f>SUM(P73*100/A51)</f>
        <v>0.3202167857142857</v>
      </c>
      <c r="Q76" s="48">
        <f>SUM(Q73*100/A51)</f>
        <v>0.41350977678571454</v>
      </c>
      <c r="R76" s="48">
        <f>SUM(R73*100/A51)</f>
        <v>0.5068027678571434</v>
      </c>
      <c r="S76" s="48">
        <f>SUM(S73*100/A51)</f>
        <v>0.6000957589285723</v>
      </c>
      <c r="T76" s="48">
        <f>SUM(T73*100/A51)</f>
        <v>0.6933887499999998</v>
      </c>
      <c r="U76" s="48">
        <f>SUM(U73*100/A51)</f>
        <v>0.7866817410714286</v>
      </c>
      <c r="V76" s="48">
        <f>SUM(V73*100/A51)</f>
        <v>0.8799747321428575</v>
      </c>
      <c r="W76" s="48">
        <f>SUM(W73*100/A51)</f>
        <v>0.9732677232142865</v>
      </c>
      <c r="X76" s="49">
        <f>SUM(X73*100/A51)</f>
        <v>6.066560714285715</v>
      </c>
      <c r="Y76" s="50"/>
      <c r="Z76" s="50"/>
    </row>
    <row r="77" spans="2:26" ht="13.5" thickBot="1">
      <c r="B77" s="18" t="s">
        <v>23</v>
      </c>
      <c r="U77" s="52">
        <f>SUM(D76:X76)</f>
        <v>4.037603437500007</v>
      </c>
      <c r="V77" s="53" t="s">
        <v>24</v>
      </c>
      <c r="W77" s="54"/>
      <c r="X77" s="55">
        <f>SUM(U77/21)</f>
        <v>0.19226683035714318</v>
      </c>
      <c r="Y77" s="56"/>
      <c r="Z77" s="57"/>
    </row>
  </sheetData>
  <printOptions/>
  <pageMargins left="0.79" right="0.52" top="1" bottom="1" header="0.4921259845" footer="0.4921259845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2011-02-18T07:02:58Z</cp:lastPrinted>
  <dcterms:created xsi:type="dcterms:W3CDTF">2011-02-17T06:58:49Z</dcterms:created>
  <dcterms:modified xsi:type="dcterms:W3CDTF">2011-02-18T07:03:03Z</dcterms:modified>
  <cp:category/>
  <cp:version/>
  <cp:contentType/>
  <cp:contentStatus/>
</cp:coreProperties>
</file>